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SD-Drive\Filing Cabinet\Water District - EPCWD\Budgets &amp; Finance\Budget 2025-2026\"/>
    </mc:Choice>
  </mc:AlternateContent>
  <xr:revisionPtr revIDLastSave="0" documentId="13_ncr:1_{CC64F67B-9B73-4B30-A226-1A958F581A65}" xr6:coauthVersionLast="47" xr6:coauthVersionMax="47" xr10:uidLastSave="{00000000-0000-0000-0000-000000000000}"/>
  <bookViews>
    <workbookView xWindow="2475" yWindow="345" windowWidth="23625" windowHeight="14985" activeTab="1" xr2:uid="{00000000-000D-0000-FFFF-FFFF00000000}"/>
  </bookViews>
  <sheets>
    <sheet name="Budget Detail" sheetId="1" r:id="rId1"/>
    <sheet name="Funding Summary w JPA Funding" sheetId="3" r:id="rId2"/>
  </sheets>
  <definedNames>
    <definedName name="_xlnm.Print_Area" localSheetId="0">'Budget Detail'!$A$1:$P$43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  <c r="N17" i="3"/>
  <c r="N11" i="3"/>
  <c r="N27" i="3"/>
  <c r="Q27" i="3" l="1"/>
  <c r="P27" i="3"/>
  <c r="L27" i="3"/>
  <c r="L11" i="3"/>
  <c r="K25" i="1"/>
  <c r="J6" i="1"/>
  <c r="J21" i="1"/>
  <c r="J28" i="1"/>
  <c r="K6" i="1" l="1"/>
  <c r="K33" i="1"/>
  <c r="K34" i="1"/>
  <c r="K32" i="1"/>
  <c r="K21" i="1"/>
  <c r="J15" i="1"/>
  <c r="N37" i="1" l="1"/>
  <c r="N39" i="1" s="1"/>
  <c r="L37" i="1"/>
  <c r="K37" i="1"/>
  <c r="J37" i="1" l="1"/>
  <c r="K5" i="3" l="1"/>
  <c r="L6" i="3" s="1"/>
  <c r="N13" i="3" l="1"/>
  <c r="N19" i="3" s="1"/>
  <c r="L13" i="3"/>
  <c r="L19" i="3" s="1"/>
  <c r="G6" i="1"/>
  <c r="G31" i="1"/>
  <c r="G13" i="1"/>
  <c r="G25" i="1"/>
  <c r="G26" i="1"/>
  <c r="G30" i="1"/>
  <c r="G28" i="1"/>
  <c r="G37" i="1" l="1"/>
  <c r="H37" i="1"/>
  <c r="F31" i="1"/>
  <c r="F6" i="1"/>
  <c r="E31" i="1"/>
  <c r="E6" i="1"/>
  <c r="E30" i="1"/>
  <c r="F37" i="1" l="1"/>
  <c r="D6" i="1" l="1"/>
  <c r="D8" i="1"/>
  <c r="E37" i="1"/>
  <c r="D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Reaugh</author>
  </authors>
  <commentList>
    <comment ref="A2" authorId="0" shapeId="0" xr:uid="{E2FC8AD6-E009-412F-ADA6-D31518B749B8}">
      <text>
        <r>
          <rPr>
            <b/>
            <sz val="9"/>
            <color indexed="81"/>
            <rFont val="Tahoma"/>
            <family val="2"/>
          </rPr>
          <t>Jerry Reaugh:</t>
        </r>
        <r>
          <rPr>
            <sz val="9"/>
            <color indexed="81"/>
            <rFont val="Tahoma"/>
            <family val="2"/>
          </rPr>
          <t xml:space="preserve">
new budget for 25/26  15Apr</t>
        </r>
      </text>
    </comment>
  </commentList>
</comments>
</file>

<file path=xl/sharedStrings.xml><?xml version="1.0" encoding="utf-8"?>
<sst xmlns="http://schemas.openxmlformats.org/spreadsheetml/2006/main" count="88" uniqueCount="81">
  <si>
    <t>Legal Services</t>
  </si>
  <si>
    <t>Office Supplies</t>
  </si>
  <si>
    <t>Postage/Printing</t>
  </si>
  <si>
    <t>Budget item description</t>
  </si>
  <si>
    <t xml:space="preserve">Engineering/Consultants </t>
  </si>
  <si>
    <t>2018/2019 Actual Expenses</t>
  </si>
  <si>
    <t>Insurance, D&amp;O, Liability</t>
  </si>
  <si>
    <t>Administrative Support</t>
  </si>
  <si>
    <t>5b</t>
  </si>
  <si>
    <t>3c</t>
  </si>
  <si>
    <t>3d</t>
  </si>
  <si>
    <t>Column 1</t>
  </si>
  <si>
    <t>Column 2</t>
  </si>
  <si>
    <t>Column 3</t>
  </si>
  <si>
    <t>Column 5</t>
  </si>
  <si>
    <t>TOTALS</t>
  </si>
  <si>
    <t>Funding Analysis</t>
  </si>
  <si>
    <t xml:space="preserve">      Cash Analysis</t>
  </si>
  <si>
    <t>2019/2020 Actual Expenses</t>
  </si>
  <si>
    <t>5c</t>
  </si>
  <si>
    <t xml:space="preserve">   Investigate State Water</t>
  </si>
  <si>
    <t>2020/2021 Actual Expenses</t>
  </si>
  <si>
    <t>5g</t>
  </si>
  <si>
    <t>2021/2022 Projected Year End Expenses</t>
  </si>
  <si>
    <t xml:space="preserve"> @$4.5/ac</t>
  </si>
  <si>
    <t>2021/2022 Actual Expenses thru 5/6</t>
  </si>
  <si>
    <t>Auditing/Financial Reporting/Accounting</t>
  </si>
  <si>
    <t>Column 4</t>
  </si>
  <si>
    <t xml:space="preserve">5h </t>
  </si>
  <si>
    <t>Budget Item No.</t>
  </si>
  <si>
    <t>10a</t>
  </si>
  <si>
    <t>Dues Subscriptions</t>
  </si>
  <si>
    <t>12a</t>
  </si>
  <si>
    <t>12b</t>
  </si>
  <si>
    <t>12c</t>
  </si>
  <si>
    <t>Telephone, Computer, Internet</t>
  </si>
  <si>
    <t xml:space="preserve">   Telephone</t>
  </si>
  <si>
    <t xml:space="preserve">   GW Levels Monitoring, Field Services</t>
  </si>
  <si>
    <t>Reserve for EPCWD Future Projects, etc.</t>
  </si>
  <si>
    <t>2023-2024 Rates</t>
  </si>
  <si>
    <t>Annual Member Assessment Needed</t>
  </si>
  <si>
    <t>Cash Analysis</t>
  </si>
  <si>
    <t>Less Projected Starting Cash Available July 1</t>
  </si>
  <si>
    <t>Residential/Commercial Minimum fee $50</t>
  </si>
  <si>
    <t>Total Membership Assessment</t>
  </si>
  <si>
    <r>
      <t xml:space="preserve">      </t>
    </r>
    <r>
      <rPr>
        <b/>
        <sz val="14"/>
        <color theme="1"/>
        <rFont val="Calibri"/>
        <family val="2"/>
        <scheme val="minor"/>
      </rPr>
      <t>Funding Needs</t>
    </r>
  </si>
  <si>
    <t xml:space="preserve">   Web Services</t>
  </si>
  <si>
    <t xml:space="preserve">   Equipment, Internet &amp; Software</t>
  </si>
  <si>
    <t xml:space="preserve">     Assessment Rates</t>
  </si>
  <si>
    <t>Projected 2025/2026 Budget Jul/Jun</t>
  </si>
  <si>
    <t xml:space="preserve">   Continuous GW Level Monitoring Equip.
   &amp;  Maint.</t>
  </si>
  <si>
    <t>6b</t>
  </si>
  <si>
    <t>5i</t>
  </si>
  <si>
    <t>Approved
'24/'25
Budget</t>
  </si>
  <si>
    <r>
      <t xml:space="preserve">
Proposed </t>
    </r>
    <r>
      <rPr>
        <b/>
        <sz val="12"/>
        <color theme="1"/>
        <rFont val="Calibri"/>
        <family val="2"/>
        <scheme val="minor"/>
      </rPr>
      <t>'25/'26</t>
    </r>
    <r>
      <rPr>
        <b/>
        <sz val="11"/>
        <color theme="1"/>
        <rFont val="Calibri"/>
        <family val="2"/>
        <scheme val="minor"/>
      </rPr>
      <t xml:space="preserve"> Budget
</t>
    </r>
    <r>
      <rPr>
        <b/>
        <sz val="9"/>
        <color theme="1"/>
        <rFont val="Calibri"/>
        <family val="2"/>
        <scheme val="minor"/>
      </rPr>
      <t xml:space="preserve"> 
</t>
    </r>
  </si>
  <si>
    <r>
      <t xml:space="preserve">   Tripepi PR Services Outreach </t>
    </r>
    <r>
      <rPr>
        <sz val="9"/>
        <color theme="1"/>
        <rFont val="Calibri"/>
        <family val="2"/>
        <scheme val="minor"/>
      </rPr>
      <t>(joint with SSJ WD)</t>
    </r>
  </si>
  <si>
    <t>6c</t>
  </si>
  <si>
    <t>6a</t>
  </si>
  <si>
    <r>
      <t xml:space="preserve">Proposed 2025/2026 Budget </t>
    </r>
    <r>
      <rPr>
        <sz val="11"/>
        <color theme="1"/>
        <rFont val="Calibri"/>
        <family val="2"/>
        <scheme val="minor"/>
      </rPr>
      <t>Jul/Jun</t>
    </r>
  </si>
  <si>
    <t>2024-2025 Rates</t>
  </si>
  <si>
    <t xml:space="preserve">   Consulting GW Monitoring Network</t>
  </si>
  <si>
    <t xml:space="preserve">   Consulting On-call Support</t>
  </si>
  <si>
    <t xml:space="preserve">   Continuous GW Level Tech Support</t>
  </si>
  <si>
    <t>PBCC Budget support, Annual Report WY'24, 5-YR Evaluations, &amp; EPC Share of PBCC Budget</t>
  </si>
  <si>
    <t>Residual Funds available from EPC commitment to PBCC Budget</t>
  </si>
  <si>
    <t xml:space="preserve">Projects:  </t>
  </si>
  <si>
    <r>
      <t xml:space="preserve">Spending YTD for
'24/'25
</t>
    </r>
    <r>
      <rPr>
        <b/>
        <sz val="9"/>
        <color theme="1"/>
        <rFont val="Calibri"/>
        <family val="2"/>
        <scheme val="minor"/>
      </rPr>
      <t>thru 6/8</t>
    </r>
  </si>
  <si>
    <r>
      <t xml:space="preserve">Projected Spending
'24/'25
</t>
    </r>
    <r>
      <rPr>
        <b/>
        <sz val="10"/>
        <color theme="1"/>
        <rFont val="Calibri"/>
        <family val="2"/>
        <scheme val="minor"/>
      </rPr>
      <t>by Fiscal Year End</t>
    </r>
    <r>
      <rPr>
        <b/>
        <sz val="11"/>
        <color theme="1"/>
        <rFont val="Calibri"/>
        <family val="2"/>
        <scheme val="minor"/>
      </rPr>
      <t xml:space="preserve">
</t>
    </r>
  </si>
  <si>
    <t>Cash - Bank Balance as of 6/8/25</t>
  </si>
  <si>
    <t>Suppport of JPA Startup &amp; Continuing Expenses thru Dec'26 - to be reimbursed</t>
  </si>
  <si>
    <t xml:space="preserve">             less Estimated YE Spending thru 6/30/25</t>
  </si>
  <si>
    <r>
      <t xml:space="preserve">Irrigated Ag Rate, </t>
    </r>
    <r>
      <rPr>
        <b/>
        <sz val="11"/>
        <color theme="1"/>
        <rFont val="Calibri"/>
        <family val="2"/>
        <scheme val="minor"/>
      </rPr>
      <t>per acre</t>
    </r>
  </si>
  <si>
    <r>
      <t xml:space="preserve">Non-irrigated Lands, </t>
    </r>
    <r>
      <rPr>
        <b/>
        <sz val="11"/>
        <color theme="1"/>
        <rFont val="Calibri"/>
        <family val="2"/>
        <scheme val="minor"/>
      </rPr>
      <t>per acre</t>
    </r>
  </si>
  <si>
    <t>Contingency/Reserve/Revenue Shortfall</t>
  </si>
  <si>
    <r>
      <t xml:space="preserve">Proposed </t>
    </r>
    <r>
      <rPr>
        <b/>
        <sz val="10"/>
        <color theme="1"/>
        <rFont val="Calibri"/>
        <family val="2"/>
      </rPr>
      <t xml:space="preserve">Assessment
</t>
    </r>
    <r>
      <rPr>
        <b/>
        <sz val="6"/>
        <color theme="1"/>
        <rFont val="Calibri"/>
        <family val="2"/>
      </rPr>
      <t xml:space="preserve">
 </t>
    </r>
    <r>
      <rPr>
        <b/>
        <sz val="11"/>
        <color theme="1"/>
        <rFont val="Calibri"/>
        <family val="2"/>
      </rPr>
      <t>2025-2026 Rates</t>
    </r>
  </si>
  <si>
    <t>Proposed 2025/2026 Budget</t>
  </si>
  <si>
    <r>
      <rPr>
        <b/>
        <i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This budget is for EPC Operations.</t>
    </r>
  </si>
  <si>
    <t>Additional funding for JPA Operations is shown on Summary Sheet.</t>
  </si>
  <si>
    <t>Estimated Year End Funds Available</t>
  </si>
  <si>
    <t>Additional Direct Funding needed for PRAGA
EPC share 30% $300,000</t>
  </si>
  <si>
    <t>Possible Additional Funding needed, EPC share 25.% of $190,000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</si>
</sst>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_);[Red]\(&quot;$&quot;#,##0\)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6" fontId="0" fillId="0" borderId="0" xfId="0" applyNumberFormat="1"/>
    <xf numFmtId="6" fontId="1" fillId="0" borderId="1" xfId="0" applyNumberFormat="1" applyFont="1" applyBorder="1" applyAlignment="1">
      <alignment horizontal="center" wrapText="1"/>
    </xf>
    <xf numFmtId="6" fontId="1" fillId="0" borderId="0" xfId="0" applyNumberFormat="1" applyFont="1"/>
    <xf numFmtId="6" fontId="1" fillId="0" borderId="0" xfId="0" applyNumberFormat="1" applyFont="1" applyAlignment="1">
      <alignment horizontal="center"/>
    </xf>
    <xf numFmtId="6" fontId="0" fillId="3" borderId="0" xfId="0" applyNumberFormat="1" applyFill="1"/>
    <xf numFmtId="0" fontId="1" fillId="0" borderId="1" xfId="0" applyFont="1" applyBorder="1" applyAlignment="1">
      <alignment horizontal="center" wrapText="1"/>
    </xf>
    <xf numFmtId="6" fontId="0" fillId="0" borderId="2" xfId="0" applyNumberFormat="1" applyBorder="1"/>
    <xf numFmtId="6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6" fontId="0" fillId="0" borderId="0" xfId="0" applyNumberFormat="1" applyAlignment="1">
      <alignment horizontal="center" wrapText="1"/>
    </xf>
    <xf numFmtId="6" fontId="0" fillId="2" borderId="4" xfId="0" applyNumberFormat="1" applyFill="1" applyBorder="1"/>
    <xf numFmtId="6" fontId="0" fillId="2" borderId="5" xfId="0" applyNumberFormat="1" applyFill="1" applyBorder="1"/>
    <xf numFmtId="6" fontId="1" fillId="2" borderId="6" xfId="0" applyNumberFormat="1" applyFont="1" applyFill="1" applyBorder="1"/>
    <xf numFmtId="6" fontId="6" fillId="0" borderId="0" xfId="0" applyNumberFormat="1" applyFont="1"/>
    <xf numFmtId="0" fontId="3" fillId="0" borderId="0" xfId="0" applyFont="1"/>
    <xf numFmtId="6" fontId="3" fillId="0" borderId="0" xfId="0" applyNumberFormat="1" applyFont="1" applyAlignment="1">
      <alignment horizontal="center"/>
    </xf>
    <xf numFmtId="6" fontId="1" fillId="0" borderId="0" xfId="0" applyNumberFormat="1" applyFont="1" applyAlignment="1">
      <alignment horizontal="center" wrapText="1"/>
    </xf>
    <xf numFmtId="6" fontId="1" fillId="5" borderId="3" xfId="0" applyNumberFormat="1" applyFont="1" applyFill="1" applyBorder="1" applyAlignment="1">
      <alignment horizontal="center" wrapText="1"/>
    </xf>
    <xf numFmtId="6" fontId="0" fillId="5" borderId="4" xfId="0" applyNumberFormat="1" applyFill="1" applyBorder="1"/>
    <xf numFmtId="6" fontId="0" fillId="5" borderId="5" xfId="0" applyNumberFormat="1" applyFill="1" applyBorder="1"/>
    <xf numFmtId="6" fontId="1" fillId="5" borderId="6" xfId="0" applyNumberFormat="1" applyFont="1" applyFill="1" applyBorder="1"/>
    <xf numFmtId="6" fontId="6" fillId="2" borderId="7" xfId="0" applyNumberFormat="1" applyFont="1" applyFill="1" applyBorder="1" applyAlignment="1">
      <alignment horizontal="right"/>
    </xf>
    <xf numFmtId="6" fontId="9" fillId="0" borderId="0" xfId="0" applyNumberFormat="1" applyFont="1"/>
    <xf numFmtId="6" fontId="10" fillId="0" borderId="0" xfId="0" applyNumberFormat="1" applyFont="1" applyAlignment="1">
      <alignment horizontal="center"/>
    </xf>
    <xf numFmtId="6" fontId="10" fillId="0" borderId="0" xfId="0" applyNumberFormat="1" applyFont="1" applyAlignment="1">
      <alignment horizontal="center" wrapText="1"/>
    </xf>
    <xf numFmtId="6" fontId="1" fillId="2" borderId="3" xfId="0" applyNumberFormat="1" applyFont="1" applyFill="1" applyBorder="1" applyAlignment="1">
      <alignment horizontal="center" vertical="top" wrapText="1"/>
    </xf>
    <xf numFmtId="6" fontId="6" fillId="0" borderId="0" xfId="0" applyNumberFormat="1" applyFont="1" applyAlignment="1">
      <alignment horizontal="right"/>
    </xf>
    <xf numFmtId="0" fontId="1" fillId="0" borderId="0" xfId="0" applyFont="1"/>
    <xf numFmtId="164" fontId="6" fillId="0" borderId="0" xfId="0" applyNumberFormat="1" applyFont="1" applyAlignment="1">
      <alignment horizontal="right"/>
    </xf>
    <xf numFmtId="6" fontId="11" fillId="0" borderId="1" xfId="0" applyNumberFormat="1" applyFont="1" applyBorder="1" applyAlignment="1">
      <alignment horizontal="center" wrapText="1"/>
    </xf>
    <xf numFmtId="8" fontId="9" fillId="0" borderId="0" xfId="0" applyNumberFormat="1" applyFont="1"/>
    <xf numFmtId="6" fontId="12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/>
    </xf>
    <xf numFmtId="6" fontId="11" fillId="0" borderId="0" xfId="0" applyNumberFormat="1" applyFont="1"/>
    <xf numFmtId="6" fontId="1" fillId="6" borderId="3" xfId="0" applyNumberFormat="1" applyFont="1" applyFill="1" applyBorder="1" applyAlignment="1">
      <alignment horizontal="center" wrapText="1"/>
    </xf>
    <xf numFmtId="6" fontId="0" fillId="6" borderId="4" xfId="0" applyNumberFormat="1" applyFill="1" applyBorder="1"/>
    <xf numFmtId="6" fontId="0" fillId="6" borderId="5" xfId="0" applyNumberFormat="1" applyFill="1" applyBorder="1"/>
    <xf numFmtId="6" fontId="1" fillId="6" borderId="6" xfId="0" applyNumberFormat="1" applyFont="1" applyFill="1" applyBorder="1"/>
    <xf numFmtId="6" fontId="0" fillId="0" borderId="8" xfId="0" applyNumberFormat="1" applyBorder="1"/>
    <xf numFmtId="6" fontId="11" fillId="4" borderId="1" xfId="0" applyNumberFormat="1" applyFont="1" applyFill="1" applyBorder="1" applyAlignment="1">
      <alignment horizontal="center" wrapText="1"/>
    </xf>
    <xf numFmtId="8" fontId="11" fillId="4" borderId="0" xfId="0" applyNumberFormat="1" applyFont="1" applyFill="1"/>
    <xf numFmtId="6" fontId="11" fillId="4" borderId="0" xfId="0" applyNumberFormat="1" applyFont="1" applyFill="1"/>
    <xf numFmtId="6" fontId="0" fillId="0" borderId="1" xfId="0" applyNumberFormat="1" applyBorder="1"/>
    <xf numFmtId="0" fontId="0" fillId="0" borderId="0" xfId="0" applyAlignment="1">
      <alignment wrapText="1"/>
    </xf>
    <xf numFmtId="6" fontId="0" fillId="4" borderId="0" xfId="0" applyNumberFormat="1" applyFill="1"/>
    <xf numFmtId="6" fontId="0" fillId="4" borderId="0" xfId="0" applyNumberFormat="1" applyFill="1" applyAlignment="1">
      <alignment horizontal="center" wrapText="1"/>
    </xf>
    <xf numFmtId="0" fontId="1" fillId="0" borderId="0" xfId="0" applyFont="1" applyAlignment="1">
      <alignment wrapText="1"/>
    </xf>
    <xf numFmtId="6" fontId="1" fillId="7" borderId="3" xfId="0" applyNumberFormat="1" applyFont="1" applyFill="1" applyBorder="1" applyAlignment="1">
      <alignment horizontal="center" wrapText="1"/>
    </xf>
    <xf numFmtId="6" fontId="0" fillId="7" borderId="4" xfId="0" applyNumberFormat="1" applyFill="1" applyBorder="1"/>
    <xf numFmtId="6" fontId="0" fillId="7" borderId="5" xfId="0" applyNumberFormat="1" applyFill="1" applyBorder="1"/>
    <xf numFmtId="6" fontId="1" fillId="7" borderId="6" xfId="0" applyNumberFormat="1" applyFont="1" applyFill="1" applyBorder="1"/>
    <xf numFmtId="6" fontId="1" fillId="2" borderId="3" xfId="0" applyNumberFormat="1" applyFont="1" applyFill="1" applyBorder="1" applyAlignment="1">
      <alignment horizontal="center" wrapText="1"/>
    </xf>
    <xf numFmtId="6" fontId="9" fillId="4" borderId="0" xfId="0" applyNumberFormat="1" applyFont="1" applyFill="1"/>
    <xf numFmtId="0" fontId="1" fillId="0" borderId="0" xfId="0" applyFont="1" applyAlignment="1">
      <alignment horizontal="left" vertical="center" wrapText="1"/>
    </xf>
    <xf numFmtId="6" fontId="10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CFF"/>
      <color rgb="FF99FF99"/>
      <color rgb="FF1AF62F"/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15" zoomScale="115" zoomScaleNormal="115" workbookViewId="0">
      <selection activeCell="R29" sqref="R29"/>
    </sheetView>
  </sheetViews>
  <sheetFormatPr defaultRowHeight="15" x14ac:dyDescent="0.25"/>
  <cols>
    <col min="1" max="1" width="7" customWidth="1"/>
    <col min="2" max="2" width="1" customWidth="1"/>
    <col min="3" max="3" width="42.85546875" customWidth="1"/>
    <col min="4" max="8" width="10.7109375" style="9" hidden="1" customWidth="1"/>
    <col min="9" max="9" width="1" style="9" customWidth="1"/>
    <col min="10" max="12" width="10" style="9" customWidth="1"/>
    <col min="13" max="13" width="1.28515625" style="9" customWidth="1"/>
    <col min="14" max="14" width="10" style="9" customWidth="1"/>
    <col min="15" max="15" width="1" style="9" customWidth="1"/>
    <col min="18" max="18" width="14" customWidth="1"/>
  </cols>
  <sheetData>
    <row r="1" spans="1:15" ht="21" customHeight="1" x14ac:dyDescent="0.35">
      <c r="A1" s="18"/>
    </row>
    <row r="2" spans="1:15" s="24" customFormat="1" x14ac:dyDescent="0.25">
      <c r="D2" s="25" t="s">
        <v>11</v>
      </c>
      <c r="E2" s="25" t="s">
        <v>12</v>
      </c>
      <c r="F2" s="25" t="s">
        <v>13</v>
      </c>
      <c r="G2" s="25" t="s">
        <v>27</v>
      </c>
      <c r="H2" s="25" t="s">
        <v>14</v>
      </c>
      <c r="I2" s="25"/>
      <c r="J2" s="25" t="s">
        <v>11</v>
      </c>
      <c r="K2" s="25" t="s">
        <v>12</v>
      </c>
      <c r="L2" s="25" t="s">
        <v>13</v>
      </c>
      <c r="M2" s="9"/>
      <c r="N2" s="25" t="s">
        <v>27</v>
      </c>
      <c r="O2" s="9"/>
    </row>
    <row r="3" spans="1:15" ht="4.5" customHeight="1" x14ac:dyDescent="0.25">
      <c r="D3" s="16"/>
      <c r="E3" s="16"/>
      <c r="F3" s="16"/>
      <c r="G3" s="16"/>
      <c r="H3" s="16"/>
      <c r="I3" s="16"/>
      <c r="J3" s="16"/>
      <c r="K3" s="16"/>
      <c r="L3" s="16"/>
      <c r="N3" s="16"/>
    </row>
    <row r="4" spans="1:15" ht="94.5" customHeight="1" x14ac:dyDescent="0.25">
      <c r="A4" s="14" t="s">
        <v>29</v>
      </c>
      <c r="B4" s="3"/>
      <c r="C4" s="4" t="s">
        <v>3</v>
      </c>
      <c r="D4" s="10" t="s">
        <v>5</v>
      </c>
      <c r="E4" s="10" t="s">
        <v>18</v>
      </c>
      <c r="F4" s="10" t="s">
        <v>21</v>
      </c>
      <c r="G4" s="10" t="s">
        <v>25</v>
      </c>
      <c r="H4" s="10" t="s">
        <v>23</v>
      </c>
      <c r="I4" s="52"/>
      <c r="J4" s="27" t="s">
        <v>66</v>
      </c>
      <c r="K4" s="44" t="s">
        <v>67</v>
      </c>
      <c r="L4" s="57" t="s">
        <v>53</v>
      </c>
      <c r="N4" s="61" t="s">
        <v>54</v>
      </c>
    </row>
    <row r="5" spans="1:15" ht="5.25" customHeight="1" x14ac:dyDescent="0.25">
      <c r="A5" s="7"/>
      <c r="B5" s="7"/>
      <c r="C5" s="8"/>
      <c r="D5" s="9">
        <v>14367</v>
      </c>
      <c r="E5" s="19"/>
      <c r="F5" s="19"/>
      <c r="J5" s="28"/>
      <c r="K5" s="45"/>
      <c r="L5" s="58"/>
      <c r="N5" s="20"/>
    </row>
    <row r="6" spans="1:15" ht="14.1" customHeight="1" x14ac:dyDescent="0.25">
      <c r="A6" s="2">
        <v>1</v>
      </c>
      <c r="B6" s="2"/>
      <c r="C6" t="s">
        <v>7</v>
      </c>
      <c r="D6" s="9">
        <f>55.92+12.5+180.2+25+8076</f>
        <v>8349.6200000000008</v>
      </c>
      <c r="E6" s="9">
        <f>108+7140+653-0.01+51.93</f>
        <v>7952.92</v>
      </c>
      <c r="F6" s="9">
        <f>6732.5+46.45+135.09+6.95</f>
        <v>6920.99</v>
      </c>
      <c r="G6" s="9">
        <f>0.2+7143.75+738.21+782.5+16.93</f>
        <v>8681.59</v>
      </c>
      <c r="H6" s="9">
        <v>10500</v>
      </c>
      <c r="J6" s="28">
        <f>14358.16+30+108.41+17+100</f>
        <v>14613.57</v>
      </c>
      <c r="K6" s="45">
        <f>J6+1800</f>
        <v>16413.57</v>
      </c>
      <c r="L6" s="58">
        <v>16000</v>
      </c>
      <c r="N6" s="20">
        <v>20000</v>
      </c>
      <c r="O6"/>
    </row>
    <row r="7" spans="1:15" ht="14.1" customHeight="1" x14ac:dyDescent="0.25">
      <c r="A7" s="2"/>
      <c r="B7" s="2"/>
      <c r="J7" s="28"/>
      <c r="K7" s="45"/>
      <c r="L7" s="58"/>
      <c r="N7" s="20"/>
      <c r="O7"/>
    </row>
    <row r="8" spans="1:15" ht="14.1" customHeight="1" x14ac:dyDescent="0.25">
      <c r="A8" s="2">
        <v>3</v>
      </c>
      <c r="B8" s="2"/>
      <c r="C8" t="s">
        <v>4</v>
      </c>
      <c r="D8" s="9">
        <f>62188.9-D5</f>
        <v>47821.9</v>
      </c>
      <c r="J8" s="28"/>
      <c r="K8" s="45"/>
      <c r="L8" s="58"/>
      <c r="N8" s="20"/>
      <c r="O8"/>
    </row>
    <row r="9" spans="1:15" ht="14.1" customHeight="1" x14ac:dyDescent="0.25">
      <c r="A9" s="2" t="s">
        <v>9</v>
      </c>
      <c r="B9" s="2"/>
      <c r="C9" t="s">
        <v>60</v>
      </c>
      <c r="E9" s="9">
        <v>1494.4</v>
      </c>
      <c r="J9" s="28"/>
      <c r="K9" s="45">
        <v>1000</v>
      </c>
      <c r="L9" s="58">
        <v>3000</v>
      </c>
      <c r="N9" s="20">
        <v>3000</v>
      </c>
      <c r="O9"/>
    </row>
    <row r="10" spans="1:15" ht="14.1" customHeight="1" x14ac:dyDescent="0.25">
      <c r="A10" s="2" t="s">
        <v>10</v>
      </c>
      <c r="B10" s="2"/>
      <c r="C10" t="s">
        <v>61</v>
      </c>
      <c r="E10" s="9">
        <v>6124</v>
      </c>
      <c r="F10" s="9">
        <v>13592</v>
      </c>
      <c r="G10" s="9">
        <v>3541.25</v>
      </c>
      <c r="H10" s="9">
        <v>6000</v>
      </c>
      <c r="J10" s="28">
        <v>3848.91</v>
      </c>
      <c r="K10" s="45">
        <v>4500</v>
      </c>
      <c r="L10" s="58">
        <v>12000</v>
      </c>
      <c r="N10" s="20">
        <v>10000</v>
      </c>
      <c r="O10"/>
    </row>
    <row r="11" spans="1:15" ht="14.1" customHeight="1" x14ac:dyDescent="0.25">
      <c r="A11" s="2"/>
      <c r="B11" s="2"/>
      <c r="J11" s="28"/>
      <c r="K11" s="45"/>
      <c r="L11" s="58"/>
      <c r="N11" s="20"/>
      <c r="O11"/>
    </row>
    <row r="12" spans="1:15" ht="14.1" customHeight="1" x14ac:dyDescent="0.25">
      <c r="A12" s="2">
        <v>5</v>
      </c>
      <c r="B12" s="2"/>
      <c r="C12" t="s">
        <v>65</v>
      </c>
      <c r="E12" s="19"/>
      <c r="G12" s="16"/>
      <c r="J12" s="28"/>
      <c r="K12" s="45"/>
      <c r="L12" s="58"/>
      <c r="N12" s="20"/>
      <c r="O12"/>
    </row>
    <row r="13" spans="1:15" ht="14.1" customHeight="1" x14ac:dyDescent="0.25">
      <c r="A13" s="2" t="s">
        <v>8</v>
      </c>
      <c r="B13" s="2"/>
      <c r="C13" t="s">
        <v>37</v>
      </c>
      <c r="E13" s="19"/>
      <c r="F13" s="9">
        <v>2600</v>
      </c>
      <c r="G13" s="9">
        <f>9527.5</f>
        <v>9527.5</v>
      </c>
      <c r="H13" s="9">
        <v>13000</v>
      </c>
      <c r="J13" s="28">
        <v>11300</v>
      </c>
      <c r="K13" s="45">
        <v>11300</v>
      </c>
      <c r="L13" s="58">
        <v>14000</v>
      </c>
      <c r="N13" s="20">
        <v>14000</v>
      </c>
      <c r="O13"/>
    </row>
    <row r="14" spans="1:15" ht="14.1" customHeight="1" x14ac:dyDescent="0.25">
      <c r="A14" s="2" t="s">
        <v>19</v>
      </c>
      <c r="B14" s="2"/>
      <c r="C14" t="s">
        <v>20</v>
      </c>
      <c r="E14" s="19"/>
      <c r="F14" s="9">
        <v>10000</v>
      </c>
      <c r="G14" s="9">
        <v>22901.58</v>
      </c>
      <c r="H14" s="9">
        <v>25000</v>
      </c>
      <c r="J14" s="28"/>
      <c r="K14" s="45"/>
      <c r="L14" s="58"/>
      <c r="N14" s="20"/>
      <c r="O14"/>
    </row>
    <row r="15" spans="1:15" ht="30" customHeight="1" x14ac:dyDescent="0.25">
      <c r="A15" s="2" t="s">
        <v>22</v>
      </c>
      <c r="B15" s="2"/>
      <c r="C15" s="53" t="s">
        <v>50</v>
      </c>
      <c r="D15" s="54"/>
      <c r="E15" s="55"/>
      <c r="F15" s="55"/>
      <c r="G15" s="54"/>
      <c r="H15" s="54">
        <v>5000</v>
      </c>
      <c r="J15" s="28">
        <f>2200.11+900</f>
        <v>3100.11</v>
      </c>
      <c r="K15" s="45">
        <v>5100</v>
      </c>
      <c r="L15" s="58">
        <v>3000</v>
      </c>
      <c r="N15" s="20">
        <v>3000</v>
      </c>
      <c r="O15"/>
    </row>
    <row r="16" spans="1:15" ht="14.1" customHeight="1" x14ac:dyDescent="0.25">
      <c r="A16" s="2" t="s">
        <v>28</v>
      </c>
      <c r="B16" s="2"/>
      <c r="C16" t="s">
        <v>62</v>
      </c>
      <c r="D16" s="54"/>
      <c r="E16" s="55"/>
      <c r="F16" s="55"/>
      <c r="G16" s="54"/>
      <c r="H16" s="54"/>
      <c r="J16" s="28"/>
      <c r="K16" s="45"/>
      <c r="L16" s="58">
        <v>3000</v>
      </c>
      <c r="N16" s="20">
        <v>3000</v>
      </c>
      <c r="O16"/>
    </row>
    <row r="17" spans="1:15" ht="14.1" customHeight="1" x14ac:dyDescent="0.25">
      <c r="A17" s="2" t="s">
        <v>52</v>
      </c>
      <c r="B17" s="2"/>
      <c r="C17" t="s">
        <v>55</v>
      </c>
      <c r="D17" s="54"/>
      <c r="E17" s="55"/>
      <c r="F17" s="55"/>
      <c r="G17" s="54"/>
      <c r="H17" s="54"/>
      <c r="J17" s="28">
        <v>8533.75</v>
      </c>
      <c r="K17" s="45">
        <v>9500</v>
      </c>
      <c r="L17" s="58">
        <v>9000</v>
      </c>
      <c r="N17" s="20">
        <v>9000</v>
      </c>
      <c r="O17"/>
    </row>
    <row r="18" spans="1:15" ht="6" customHeight="1" x14ac:dyDescent="0.25">
      <c r="D18"/>
      <c r="E18"/>
      <c r="G18"/>
      <c r="H18"/>
      <c r="J18" s="28"/>
      <c r="K18" s="45"/>
      <c r="L18" s="58"/>
      <c r="N18" s="20"/>
      <c r="O18"/>
    </row>
    <row r="19" spans="1:15" ht="14.1" customHeight="1" x14ac:dyDescent="0.25">
      <c r="A19" s="2">
        <v>6</v>
      </c>
      <c r="C19" t="s">
        <v>38</v>
      </c>
      <c r="E19" s="19"/>
      <c r="J19" s="28"/>
      <c r="K19" s="45"/>
      <c r="L19" s="58">
        <v>20000</v>
      </c>
      <c r="N19" s="20">
        <v>25000</v>
      </c>
      <c r="O19"/>
    </row>
    <row r="20" spans="1:15" ht="6.75" customHeight="1" x14ac:dyDescent="0.25">
      <c r="A20" s="2"/>
      <c r="E20" s="19"/>
      <c r="J20" s="28"/>
      <c r="K20" s="45"/>
      <c r="L20" s="58"/>
      <c r="N20" s="20"/>
      <c r="O20"/>
    </row>
    <row r="21" spans="1:15" ht="33" customHeight="1" x14ac:dyDescent="0.25">
      <c r="A21" s="2" t="s">
        <v>57</v>
      </c>
      <c r="C21" s="56" t="s">
        <v>63</v>
      </c>
      <c r="E21" s="19"/>
      <c r="J21" s="28">
        <f>29210+77372.51</f>
        <v>106582.51</v>
      </c>
      <c r="K21" s="45">
        <f>29211+77372.51</f>
        <v>106583.51</v>
      </c>
      <c r="L21" s="58">
        <v>175800</v>
      </c>
      <c r="N21" s="20"/>
      <c r="O21"/>
    </row>
    <row r="22" spans="1:15" ht="37.5" customHeight="1" x14ac:dyDescent="0.25">
      <c r="A22" s="2" t="s">
        <v>51</v>
      </c>
      <c r="C22" s="56" t="s">
        <v>64</v>
      </c>
      <c r="E22" s="19"/>
      <c r="J22" s="28">
        <v>10000</v>
      </c>
      <c r="K22" s="45">
        <v>59217</v>
      </c>
      <c r="L22" s="58"/>
      <c r="N22" s="20"/>
      <c r="O22"/>
    </row>
    <row r="23" spans="1:15" ht="37.5" customHeight="1" x14ac:dyDescent="0.25">
      <c r="A23" s="2" t="s">
        <v>56</v>
      </c>
      <c r="C23" s="56" t="s">
        <v>69</v>
      </c>
      <c r="E23" s="19"/>
      <c r="J23" s="28"/>
      <c r="K23" s="45">
        <v>2500</v>
      </c>
      <c r="L23" s="58"/>
      <c r="N23" s="20">
        <v>-2500</v>
      </c>
      <c r="O23"/>
    </row>
    <row r="24" spans="1:15" ht="6" customHeight="1" x14ac:dyDescent="0.25">
      <c r="D24"/>
      <c r="E24"/>
      <c r="G24"/>
      <c r="H24"/>
      <c r="J24" s="28"/>
      <c r="K24" s="45"/>
      <c r="L24" s="58"/>
      <c r="N24" s="20"/>
      <c r="O24"/>
    </row>
    <row r="25" spans="1:15" ht="14.1" customHeight="1" x14ac:dyDescent="0.25">
      <c r="A25" s="2">
        <v>7</v>
      </c>
      <c r="B25" s="2"/>
      <c r="C25" t="s">
        <v>0</v>
      </c>
      <c r="D25" s="9">
        <v>48370.23</v>
      </c>
      <c r="E25" s="9">
        <v>20356.73</v>
      </c>
      <c r="F25" s="9">
        <v>7585.25</v>
      </c>
      <c r="G25" s="9">
        <f>5532.5</f>
        <v>5532.5</v>
      </c>
      <c r="H25" s="9">
        <v>7000</v>
      </c>
      <c r="J25" s="28">
        <v>23623.72</v>
      </c>
      <c r="K25" s="45">
        <f>J25+4889+2500</f>
        <v>31012.720000000001</v>
      </c>
      <c r="L25" s="58">
        <v>30000</v>
      </c>
      <c r="N25" s="20">
        <v>30000</v>
      </c>
      <c r="O25"/>
    </row>
    <row r="26" spans="1:15" ht="14.1" customHeight="1" x14ac:dyDescent="0.25">
      <c r="A26" s="2">
        <v>8</v>
      </c>
      <c r="B26" s="2"/>
      <c r="C26" t="s">
        <v>6</v>
      </c>
      <c r="D26" s="9">
        <v>5287.62</v>
      </c>
      <c r="E26" s="9">
        <v>2974.96</v>
      </c>
      <c r="F26" s="9">
        <v>3267.31</v>
      </c>
      <c r="G26" s="9">
        <f>410+2823.76</f>
        <v>3233.76</v>
      </c>
      <c r="H26" s="9">
        <v>3234</v>
      </c>
      <c r="J26" s="28">
        <v>3459.14</v>
      </c>
      <c r="K26" s="45">
        <v>4500</v>
      </c>
      <c r="L26" s="58">
        <v>6500</v>
      </c>
      <c r="N26" s="20">
        <v>6500</v>
      </c>
      <c r="O26"/>
    </row>
    <row r="27" spans="1:15" ht="14.1" customHeight="1" x14ac:dyDescent="0.25">
      <c r="A27" s="2">
        <v>9</v>
      </c>
      <c r="B27" s="2"/>
      <c r="C27" t="s">
        <v>26</v>
      </c>
      <c r="D27" s="9">
        <v>0</v>
      </c>
      <c r="F27" s="9">
        <v>5000</v>
      </c>
      <c r="G27" s="9">
        <v>5000</v>
      </c>
      <c r="H27" s="9">
        <v>5000</v>
      </c>
      <c r="J27" s="28"/>
      <c r="K27" s="45">
        <v>7000</v>
      </c>
      <c r="L27" s="58">
        <v>7000</v>
      </c>
      <c r="N27" s="20">
        <v>7000</v>
      </c>
      <c r="O27"/>
    </row>
    <row r="28" spans="1:15" ht="14.1" customHeight="1" x14ac:dyDescent="0.25">
      <c r="A28" s="2">
        <v>10</v>
      </c>
      <c r="B28" s="2"/>
      <c r="C28" t="s">
        <v>1</v>
      </c>
      <c r="D28" s="9">
        <v>814.85</v>
      </c>
      <c r="E28" s="9">
        <v>827.27</v>
      </c>
      <c r="F28" s="9">
        <v>261.73</v>
      </c>
      <c r="G28" s="9">
        <f>324.22</f>
        <v>324.22000000000003</v>
      </c>
      <c r="H28" s="9">
        <v>750</v>
      </c>
      <c r="J28" s="28">
        <f>49.34+811.06</f>
        <v>860.4</v>
      </c>
      <c r="K28" s="45">
        <v>1000</v>
      </c>
      <c r="L28" s="58">
        <v>1000</v>
      </c>
      <c r="N28" s="20">
        <v>1000</v>
      </c>
      <c r="O28"/>
    </row>
    <row r="29" spans="1:15" ht="14.1" customHeight="1" x14ac:dyDescent="0.25">
      <c r="A29" s="2" t="s">
        <v>30</v>
      </c>
      <c r="B29" s="2"/>
      <c r="C29" t="s">
        <v>31</v>
      </c>
      <c r="J29" s="28">
        <v>1297.5</v>
      </c>
      <c r="K29" s="45">
        <v>1500</v>
      </c>
      <c r="L29" s="58">
        <v>2000</v>
      </c>
      <c r="N29" s="20">
        <v>2400</v>
      </c>
      <c r="O29"/>
    </row>
    <row r="30" spans="1:15" ht="14.1" customHeight="1" x14ac:dyDescent="0.25">
      <c r="A30" s="2">
        <v>11</v>
      </c>
      <c r="B30" s="2"/>
      <c r="C30" t="s">
        <v>2</v>
      </c>
      <c r="D30" s="9">
        <v>458.82</v>
      </c>
      <c r="E30" s="9">
        <f>349.2+28.08</f>
        <v>377.28</v>
      </c>
      <c r="F30" s="9">
        <v>258.25</v>
      </c>
      <c r="G30" s="9">
        <f>157.62+225.53</f>
        <v>383.15</v>
      </c>
      <c r="H30" s="9">
        <v>600</v>
      </c>
      <c r="J30" s="28">
        <v>570.88</v>
      </c>
      <c r="K30" s="45">
        <v>700</v>
      </c>
      <c r="L30" s="58">
        <v>1000</v>
      </c>
      <c r="N30" s="20">
        <v>1000</v>
      </c>
      <c r="O30"/>
    </row>
    <row r="31" spans="1:15" ht="14.1" customHeight="1" x14ac:dyDescent="0.25">
      <c r="A31" s="2">
        <v>12</v>
      </c>
      <c r="B31" s="2"/>
      <c r="C31" t="s">
        <v>35</v>
      </c>
      <c r="D31" s="9">
        <v>462.07</v>
      </c>
      <c r="E31" s="9">
        <f>757.22+432.55</f>
        <v>1189.77</v>
      </c>
      <c r="F31" s="9">
        <f>830.33+524.96</f>
        <v>1355.29</v>
      </c>
      <c r="G31" s="9">
        <f>1962.04+478.18</f>
        <v>2440.2199999999998</v>
      </c>
      <c r="H31" s="9">
        <v>4000</v>
      </c>
      <c r="J31" s="28"/>
      <c r="K31" s="45"/>
      <c r="L31" s="58"/>
      <c r="N31" s="20"/>
      <c r="O31"/>
    </row>
    <row r="32" spans="1:15" ht="14.1" customHeight="1" x14ac:dyDescent="0.25">
      <c r="A32" s="2" t="s">
        <v>32</v>
      </c>
      <c r="B32" s="2"/>
      <c r="C32" t="s">
        <v>36</v>
      </c>
      <c r="J32" s="28">
        <v>588.69000000000005</v>
      </c>
      <c r="K32" s="45">
        <f>J32*1.33</f>
        <v>782.95770000000016</v>
      </c>
      <c r="L32" s="58">
        <v>750</v>
      </c>
      <c r="N32" s="20">
        <v>1000</v>
      </c>
      <c r="O32"/>
    </row>
    <row r="33" spans="1:15" ht="14.1" customHeight="1" x14ac:dyDescent="0.25">
      <c r="A33" s="2" t="s">
        <v>33</v>
      </c>
      <c r="B33" s="2"/>
      <c r="C33" t="s">
        <v>46</v>
      </c>
      <c r="J33" s="28">
        <v>1454</v>
      </c>
      <c r="K33" s="45">
        <f>J33*1.33</f>
        <v>1933.8200000000002</v>
      </c>
      <c r="L33" s="58">
        <v>3000</v>
      </c>
      <c r="N33" s="20">
        <v>3000</v>
      </c>
      <c r="O33"/>
    </row>
    <row r="34" spans="1:15" ht="14.1" customHeight="1" x14ac:dyDescent="0.25">
      <c r="A34" s="2" t="s">
        <v>34</v>
      </c>
      <c r="B34" s="2"/>
      <c r="C34" t="s">
        <v>47</v>
      </c>
      <c r="J34" s="28">
        <v>575.91999999999996</v>
      </c>
      <c r="K34" s="45">
        <f>J34*1.33</f>
        <v>765.97360000000003</v>
      </c>
      <c r="L34" s="58">
        <v>2500</v>
      </c>
      <c r="N34" s="20">
        <v>4000</v>
      </c>
      <c r="O34"/>
    </row>
    <row r="35" spans="1:15" ht="14.1" customHeight="1" thickBot="1" x14ac:dyDescent="0.3">
      <c r="A35" s="2">
        <v>13</v>
      </c>
      <c r="B35" s="2"/>
      <c r="C35" t="s">
        <v>73</v>
      </c>
      <c r="D35" s="15"/>
      <c r="E35" s="15"/>
      <c r="F35" s="15"/>
      <c r="G35" s="15"/>
      <c r="H35" s="15"/>
      <c r="J35" s="29"/>
      <c r="K35" s="46"/>
      <c r="L35" s="59">
        <v>25000</v>
      </c>
      <c r="N35" s="21">
        <v>40000</v>
      </c>
      <c r="O35"/>
    </row>
    <row r="36" spans="1:15" ht="5.25" customHeight="1" x14ac:dyDescent="0.25">
      <c r="A36" s="2"/>
      <c r="B36" s="2"/>
      <c r="D36" s="13"/>
      <c r="E36" s="13"/>
      <c r="F36" s="13"/>
      <c r="G36" s="13"/>
      <c r="H36" s="13"/>
      <c r="J36" s="28"/>
      <c r="K36" s="45"/>
      <c r="L36" s="58"/>
      <c r="N36" s="20"/>
      <c r="O36"/>
    </row>
    <row r="37" spans="1:15" x14ac:dyDescent="0.25">
      <c r="C37" s="1" t="s">
        <v>15</v>
      </c>
      <c r="D37" s="11">
        <f>SUM(D5:D35)</f>
        <v>125932.11000000002</v>
      </c>
      <c r="E37" s="11">
        <f>SUM(E5:E35)</f>
        <v>41297.329999999994</v>
      </c>
      <c r="F37" s="11">
        <f>SUM(F5:F35)</f>
        <v>50840.82</v>
      </c>
      <c r="G37" s="11">
        <f>SUM(G6:G35)</f>
        <v>61565.770000000004</v>
      </c>
      <c r="H37" s="11">
        <f>SUM(H5:H35)</f>
        <v>80084</v>
      </c>
      <c r="I37" s="11"/>
      <c r="J37" s="30">
        <f>SUM(J6:J35)</f>
        <v>190409.1</v>
      </c>
      <c r="K37" s="47">
        <f>SUM(K6:K35)</f>
        <v>265309.55130000005</v>
      </c>
      <c r="L37" s="60">
        <f>SUM(L6:L35)</f>
        <v>334550</v>
      </c>
      <c r="N37" s="22">
        <f>SUM(N6:N35)</f>
        <v>180400</v>
      </c>
      <c r="O37"/>
    </row>
    <row r="38" spans="1:15" ht="10.5" customHeight="1" thickBot="1" x14ac:dyDescent="0.3">
      <c r="C38" s="1"/>
      <c r="D38" s="11"/>
      <c r="E38" s="11"/>
      <c r="F38" s="11"/>
      <c r="G38" s="11"/>
      <c r="H38" s="11"/>
      <c r="I38" s="11"/>
      <c r="J38"/>
      <c r="K38"/>
      <c r="L38"/>
      <c r="N38"/>
      <c r="O38"/>
    </row>
    <row r="39" spans="1:15" ht="18.75" customHeight="1" thickBot="1" x14ac:dyDescent="0.3">
      <c r="D39" s="11"/>
      <c r="E39" s="11"/>
      <c r="F39" s="11"/>
      <c r="G39" s="11"/>
      <c r="H39" s="11"/>
      <c r="I39" s="11"/>
      <c r="J39" s="11"/>
      <c r="L39" s="1" t="s">
        <v>58</v>
      </c>
      <c r="N39" s="31">
        <f>N37</f>
        <v>180400</v>
      </c>
      <c r="O39" s="48"/>
    </row>
    <row r="40" spans="1:15" ht="11.25" customHeight="1" x14ac:dyDescent="0.25"/>
    <row r="41" spans="1:15" x14ac:dyDescent="0.25">
      <c r="C41" t="s">
        <v>76</v>
      </c>
    </row>
    <row r="42" spans="1:15" x14ac:dyDescent="0.25">
      <c r="C42" t="s">
        <v>77</v>
      </c>
    </row>
  </sheetData>
  <phoneticPr fontId="8" type="noConversion"/>
  <pageMargins left="0.75" right="0.25" top="0.6" bottom="0.5" header="0.45" footer="0.3"/>
  <pageSetup scale="92" fitToHeight="0" orientation="portrait" r:id="rId1"/>
  <headerFooter>
    <oddHeader xml:space="preserve">&amp;C&amp;"-,Bold"&amp;16 2025/2026 EPCWD/GSA Budget Detail </oddHeader>
    <oddFooter>&amp;L&amp;8&amp;D  &amp;T   jr&amp;C&amp;8As Approved 13Aug25&amp;R&amp;8&amp;F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D5D1-7B90-4E09-B1BD-34150CE23113}">
  <sheetPr>
    <pageSetUpPr fitToPage="1"/>
  </sheetPr>
  <dimension ref="B1:S28"/>
  <sheetViews>
    <sheetView tabSelected="1" topLeftCell="A3" workbookViewId="0">
      <selection activeCell="S9" sqref="S9"/>
    </sheetView>
  </sheetViews>
  <sheetFormatPr defaultRowHeight="15" x14ac:dyDescent="0.25"/>
  <cols>
    <col min="1" max="1" width="3" customWidth="1"/>
    <col min="2" max="2" width="6.140625" customWidth="1"/>
    <col min="3" max="3" width="1" customWidth="1"/>
    <col min="4" max="4" width="41" customWidth="1"/>
    <col min="5" max="9" width="10.7109375" style="9" hidden="1" customWidth="1"/>
    <col min="10" max="10" width="1" style="9" customWidth="1"/>
    <col min="11" max="11" width="10.28515625" style="9" customWidth="1"/>
    <col min="12" max="12" width="10.7109375" style="9" customWidth="1"/>
    <col min="13" max="13" width="1" style="9" customWidth="1"/>
    <col min="14" max="14" width="11" style="9" customWidth="1"/>
    <col min="15" max="15" width="1" style="9" customWidth="1"/>
    <col min="16" max="16" width="10.28515625" style="9" customWidth="1"/>
    <col min="17" max="17" width="10.85546875" bestFit="1" customWidth="1"/>
  </cols>
  <sheetData>
    <row r="1" spans="2:16" ht="26.25" customHeight="1" x14ac:dyDescent="0.35">
      <c r="B1" s="18" t="s">
        <v>41</v>
      </c>
      <c r="D1" s="17"/>
      <c r="E1" s="11"/>
      <c r="F1" s="11"/>
      <c r="G1" s="11"/>
      <c r="H1" s="11"/>
      <c r="I1" s="11"/>
      <c r="J1" s="11"/>
      <c r="K1" s="11"/>
      <c r="M1" s="11"/>
      <c r="N1" s="36"/>
      <c r="O1" s="11"/>
      <c r="P1" s="36"/>
    </row>
    <row r="2" spans="2:16" ht="14.1" customHeight="1" x14ac:dyDescent="0.25">
      <c r="D2" s="17"/>
      <c r="E2" s="11"/>
      <c r="F2" s="11"/>
      <c r="G2" s="11"/>
      <c r="H2" s="11"/>
      <c r="I2" s="11"/>
      <c r="J2" s="11"/>
      <c r="K2" s="11"/>
      <c r="M2" s="11"/>
      <c r="N2" s="36"/>
      <c r="O2" s="11"/>
      <c r="P2" s="36"/>
    </row>
    <row r="3" spans="2:16" ht="14.1" customHeight="1" x14ac:dyDescent="0.25">
      <c r="B3" s="5" t="s">
        <v>17</v>
      </c>
      <c r="C3" s="5"/>
      <c r="D3" s="6"/>
      <c r="E3" s="12"/>
      <c r="F3" s="26"/>
      <c r="G3" s="26"/>
      <c r="H3" s="12"/>
      <c r="I3" s="12"/>
      <c r="J3" s="12"/>
      <c r="K3" s="32"/>
      <c r="L3" s="32"/>
      <c r="M3" s="33"/>
      <c r="N3" s="36"/>
      <c r="O3" s="33"/>
      <c r="P3" s="36"/>
    </row>
    <row r="4" spans="2:16" ht="14.1" customHeight="1" x14ac:dyDescent="0.25">
      <c r="D4" t="s">
        <v>68</v>
      </c>
      <c r="F4" s="9">
        <v>113659.52</v>
      </c>
      <c r="K4" s="34">
        <v>164114.72</v>
      </c>
      <c r="L4" s="34"/>
      <c r="M4" s="33"/>
      <c r="N4" s="36"/>
      <c r="O4" s="33"/>
      <c r="P4" s="36"/>
    </row>
    <row r="5" spans="2:16" ht="14.1" customHeight="1" x14ac:dyDescent="0.25">
      <c r="D5" t="s">
        <v>70</v>
      </c>
      <c r="F5" s="9">
        <v>0</v>
      </c>
      <c r="K5" s="32">
        <f>'Budget Detail'!K37-'Budget Detail'!J37</f>
        <v>74900.451300000044</v>
      </c>
      <c r="L5" s="32"/>
      <c r="M5" s="32"/>
      <c r="N5" s="36"/>
      <c r="O5" s="32"/>
      <c r="P5" s="36"/>
    </row>
    <row r="6" spans="2:16" ht="14.1" customHeight="1" x14ac:dyDescent="0.25">
      <c r="D6" s="37" t="s">
        <v>78</v>
      </c>
      <c r="G6" s="9">
        <v>113659.52</v>
      </c>
      <c r="K6" s="32"/>
      <c r="L6" s="43">
        <f>K4-K5</f>
        <v>89214.268699999957</v>
      </c>
      <c r="M6" s="32"/>
      <c r="N6" s="36"/>
      <c r="O6" s="32"/>
      <c r="P6" s="36"/>
    </row>
    <row r="7" spans="2:16" ht="14.1" customHeight="1" x14ac:dyDescent="0.25">
      <c r="D7" s="17"/>
      <c r="E7" s="11"/>
      <c r="F7" s="11"/>
      <c r="G7" s="11"/>
      <c r="H7" s="11"/>
      <c r="I7" s="11"/>
      <c r="J7" s="11"/>
      <c r="K7" s="11"/>
      <c r="M7" s="11"/>
      <c r="N7" s="36"/>
      <c r="O7" s="11"/>
      <c r="P7" s="36"/>
    </row>
    <row r="8" spans="2:16" ht="26.25" customHeight="1" x14ac:dyDescent="0.35">
      <c r="B8" s="18" t="s">
        <v>16</v>
      </c>
      <c r="D8" s="17"/>
      <c r="E8" s="11"/>
      <c r="F8" s="11"/>
      <c r="G8" s="11"/>
      <c r="H8" s="11"/>
      <c r="I8" s="11"/>
      <c r="J8" s="11"/>
      <c r="K8" s="11"/>
      <c r="M8" s="11"/>
      <c r="N8" s="36"/>
      <c r="O8" s="11"/>
      <c r="P8" s="36"/>
    </row>
    <row r="9" spans="2:16" ht="51" customHeight="1" x14ac:dyDescent="0.3">
      <c r="B9" s="17" t="s">
        <v>45</v>
      </c>
      <c r="D9" s="17"/>
      <c r="E9" s="11"/>
      <c r="F9" s="11"/>
      <c r="G9" s="11"/>
      <c r="H9" s="11"/>
      <c r="I9" s="11"/>
      <c r="J9" s="11"/>
      <c r="L9" s="35" t="s">
        <v>75</v>
      </c>
      <c r="N9" s="35" t="s">
        <v>75</v>
      </c>
    </row>
    <row r="10" spans="2:16" ht="9.75" customHeight="1" x14ac:dyDescent="0.25">
      <c r="C10" s="5"/>
      <c r="H10" s="12"/>
      <c r="I10" s="12"/>
      <c r="K10" s="12"/>
      <c r="L10" s="12"/>
      <c r="M10" s="12"/>
      <c r="O10" s="12"/>
    </row>
    <row r="11" spans="2:16" ht="19.5" customHeight="1" x14ac:dyDescent="0.25">
      <c r="C11" s="5"/>
      <c r="D11" s="5" t="s">
        <v>49</v>
      </c>
      <c r="E11" s="12"/>
      <c r="F11" s="16" t="s">
        <v>24</v>
      </c>
      <c r="H11" s="12"/>
      <c r="I11" s="12"/>
      <c r="J11" s="12"/>
      <c r="K11" s="32"/>
      <c r="L11" s="38">
        <f>'Budget Detail'!N39</f>
        <v>180400</v>
      </c>
      <c r="M11" s="33"/>
      <c r="N11" s="38">
        <f>'Budget Detail'!N39</f>
        <v>180400</v>
      </c>
      <c r="O11" s="33"/>
    </row>
    <row r="12" spans="2:16" ht="9.75" customHeight="1" x14ac:dyDescent="0.25">
      <c r="C12" s="5"/>
      <c r="E12" s="12"/>
      <c r="F12" s="16"/>
      <c r="H12" s="12"/>
      <c r="I12" s="12"/>
      <c r="J12" s="12"/>
      <c r="K12" s="32"/>
      <c r="M12" s="33"/>
      <c r="O12" s="33"/>
    </row>
    <row r="13" spans="2:16" ht="19.5" customHeight="1" x14ac:dyDescent="0.25">
      <c r="B13" s="5"/>
      <c r="C13" s="5"/>
      <c r="D13" s="37" t="s">
        <v>42</v>
      </c>
      <c r="F13" s="9">
        <v>113659.52</v>
      </c>
      <c r="K13" s="33"/>
      <c r="L13" s="38">
        <f>L6</f>
        <v>89214.268699999957</v>
      </c>
      <c r="M13" s="33"/>
      <c r="N13" s="38">
        <f>L6</f>
        <v>89214.268699999957</v>
      </c>
      <c r="O13" s="33"/>
    </row>
    <row r="14" spans="2:16" ht="9.75" customHeight="1" x14ac:dyDescent="0.25">
      <c r="C14" s="5"/>
      <c r="H14" s="12"/>
      <c r="I14" s="12"/>
      <c r="K14" s="12"/>
      <c r="L14" s="12"/>
      <c r="M14" s="12"/>
      <c r="O14" s="12"/>
    </row>
    <row r="15" spans="2:16" ht="27.75" customHeight="1" x14ac:dyDescent="0.25">
      <c r="C15" s="5"/>
      <c r="D15" s="63" t="s">
        <v>79</v>
      </c>
      <c r="E15" s="12"/>
      <c r="F15" s="16" t="s">
        <v>24</v>
      </c>
      <c r="H15" s="12"/>
      <c r="I15" s="12"/>
      <c r="J15" s="12"/>
      <c r="K15" s="32"/>
      <c r="M15" s="33"/>
      <c r="N15" s="38">
        <f>0.3*300000</f>
        <v>90000</v>
      </c>
      <c r="O15" s="33"/>
    </row>
    <row r="16" spans="2:16" ht="9.75" customHeight="1" x14ac:dyDescent="0.25">
      <c r="C16" s="5"/>
      <c r="E16" s="12"/>
      <c r="F16" s="16"/>
      <c r="H16" s="12"/>
      <c r="I16" s="12"/>
      <c r="J16" s="12"/>
      <c r="K16" s="32"/>
      <c r="M16" s="33"/>
      <c r="O16" s="33"/>
    </row>
    <row r="17" spans="2:19" ht="27.75" customHeight="1" thickBot="1" x14ac:dyDescent="0.3">
      <c r="C17" s="5"/>
      <c r="D17" s="63" t="s">
        <v>80</v>
      </c>
      <c r="E17" s="12"/>
      <c r="F17" s="16"/>
      <c r="H17" s="12"/>
      <c r="I17" s="12"/>
      <c r="J17" s="12"/>
      <c r="K17" s="32"/>
      <c r="L17" s="15"/>
      <c r="M17" s="64"/>
      <c r="N17" s="65">
        <f>(90000+100000)/4</f>
        <v>47500</v>
      </c>
      <c r="O17" s="64"/>
    </row>
    <row r="18" spans="2:19" ht="6.75" customHeight="1" x14ac:dyDescent="0.25">
      <c r="B18" s="5"/>
      <c r="C18" s="5"/>
      <c r="D18" s="37"/>
      <c r="E18" s="12"/>
      <c r="F18" s="26"/>
      <c r="G18" s="26"/>
      <c r="H18" s="12"/>
      <c r="I18" s="12"/>
      <c r="J18" s="12"/>
      <c r="K18" s="33"/>
      <c r="L18" s="38"/>
      <c r="M18" s="33"/>
      <c r="N18" s="38"/>
      <c r="O18" s="33"/>
    </row>
    <row r="19" spans="2:19" ht="19.5" customHeight="1" x14ac:dyDescent="0.25">
      <c r="B19" s="5"/>
      <c r="C19" s="5"/>
      <c r="D19" s="37" t="s">
        <v>40</v>
      </c>
      <c r="E19" s="12"/>
      <c r="F19" s="26"/>
      <c r="G19" s="26"/>
      <c r="H19" s="12"/>
      <c r="I19" s="12"/>
      <c r="J19" s="12"/>
      <c r="K19" s="33"/>
      <c r="L19" s="38">
        <f>L11+L15-L13+L17</f>
        <v>91185.731300000043</v>
      </c>
      <c r="M19" s="33"/>
      <c r="N19" s="38">
        <f>N11+N15-N13+N17</f>
        <v>228685.73130000004</v>
      </c>
      <c r="O19" s="33"/>
    </row>
    <row r="20" spans="2:19" ht="12.75" customHeight="1" x14ac:dyDescent="0.25">
      <c r="B20" s="5"/>
      <c r="C20" s="5"/>
      <c r="D20" s="37"/>
      <c r="E20" s="12"/>
      <c r="F20" s="26"/>
      <c r="G20" s="26"/>
      <c r="H20" s="12"/>
      <c r="I20" s="12"/>
      <c r="J20" s="12"/>
      <c r="K20" s="33"/>
      <c r="L20" s="38"/>
      <c r="M20" s="33"/>
      <c r="O20" s="33"/>
    </row>
    <row r="21" spans="2:19" ht="19.5" customHeight="1" x14ac:dyDescent="0.3">
      <c r="B21" s="42" t="s">
        <v>48</v>
      </c>
      <c r="C21" s="5"/>
      <c r="D21" s="6"/>
      <c r="E21" s="12"/>
      <c r="F21" s="26"/>
      <c r="G21" s="26"/>
      <c r="H21" s="12"/>
      <c r="I21" s="12"/>
      <c r="J21" s="12"/>
      <c r="K21" s="33"/>
      <c r="L21" s="33"/>
      <c r="N21" s="33"/>
    </row>
    <row r="22" spans="2:19" ht="66" customHeight="1" x14ac:dyDescent="0.25">
      <c r="E22"/>
      <c r="F22"/>
      <c r="G22"/>
      <c r="H22"/>
      <c r="I22"/>
      <c r="J22"/>
      <c r="K22" s="33"/>
      <c r="L22" s="49" t="s">
        <v>74</v>
      </c>
      <c r="N22" s="49" t="s">
        <v>74</v>
      </c>
      <c r="P22" s="39" t="s">
        <v>59</v>
      </c>
      <c r="Q22" s="39" t="s">
        <v>39</v>
      </c>
    </row>
    <row r="23" spans="2:19" ht="15.75" customHeight="1" x14ac:dyDescent="0.25">
      <c r="D23" t="s">
        <v>71</v>
      </c>
      <c r="E23"/>
      <c r="F23" s="9" t="e">
        <v>#REF!</v>
      </c>
      <c r="G23"/>
      <c r="H23"/>
      <c r="I23"/>
      <c r="J23"/>
      <c r="K23" s="33"/>
      <c r="L23" s="50">
        <v>6</v>
      </c>
      <c r="N23" s="50">
        <v>16.5</v>
      </c>
      <c r="P23" s="40">
        <v>16.5</v>
      </c>
      <c r="Q23" s="40">
        <v>5</v>
      </c>
    </row>
    <row r="24" spans="2:19" ht="15.75" customHeight="1" x14ac:dyDescent="0.25">
      <c r="D24" t="s">
        <v>72</v>
      </c>
      <c r="E24"/>
      <c r="F24" s="9" t="e">
        <v>#REF!</v>
      </c>
      <c r="G24"/>
      <c r="H24"/>
      <c r="I24"/>
      <c r="J24"/>
      <c r="K24" s="33"/>
      <c r="L24" s="50">
        <v>0.08</v>
      </c>
      <c r="N24" s="50">
        <v>0.11</v>
      </c>
      <c r="P24" s="40">
        <v>0.1</v>
      </c>
      <c r="Q24" s="40">
        <v>0.08</v>
      </c>
    </row>
    <row r="25" spans="2:19" ht="15.75" customHeight="1" x14ac:dyDescent="0.25">
      <c r="D25" t="s">
        <v>43</v>
      </c>
      <c r="G25" s="23" t="e">
        <v>#REF!</v>
      </c>
      <c r="K25" s="33"/>
      <c r="L25" s="51">
        <v>50</v>
      </c>
      <c r="N25" s="51">
        <v>50</v>
      </c>
      <c r="P25" s="32">
        <v>50</v>
      </c>
      <c r="Q25" s="32">
        <v>50</v>
      </c>
    </row>
    <row r="26" spans="2:19" x14ac:dyDescent="0.25">
      <c r="K26" s="33"/>
      <c r="L26" s="62"/>
      <c r="N26" s="62"/>
      <c r="P26" s="32"/>
      <c r="Q26" s="32"/>
    </row>
    <row r="27" spans="2:19" x14ac:dyDescent="0.25">
      <c r="D27" s="41" t="s">
        <v>44</v>
      </c>
      <c r="K27" s="33"/>
      <c r="L27" s="54">
        <f>(15400*L23+20675*L24+31*L25)</f>
        <v>95604</v>
      </c>
      <c r="N27" s="54">
        <f t="shared" ref="N27" si="0">(15400*N23+20675*N24+31*N25)</f>
        <v>257924.25</v>
      </c>
      <c r="P27" s="9">
        <f>(15400*P23+20675*P24+31*P25)</f>
        <v>257717.5</v>
      </c>
      <c r="Q27" s="9">
        <f>(15400*Q23+20675*Q24+31*Q25)</f>
        <v>80204</v>
      </c>
    </row>
    <row r="28" spans="2:19" x14ac:dyDescent="0.25">
      <c r="K28" s="33"/>
      <c r="S28" s="9"/>
    </row>
  </sheetData>
  <pageMargins left="0.45" right="0.45" top="1" bottom="0.75" header="0.55000000000000004" footer="0.3"/>
  <pageSetup scale="96" fitToWidth="0" orientation="landscape" r:id="rId1"/>
  <headerFooter>
    <oddHeader>&amp;C&amp;"-,Bold Italic"&amp;18Funding Summary with PRAGA Direct Funding</oddHeader>
    <oddFooter>&amp;L&amp;8&amp;D &amp;T jr&amp;C&amp;8As Approved 13Aug25&amp;R&amp;8&amp;F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Detail</vt:lpstr>
      <vt:lpstr>Funding Summary w JPA Funding</vt:lpstr>
      <vt:lpstr>'Budget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Reaugh</dc:creator>
  <cp:lastModifiedBy>Jerry Reaugh</cp:lastModifiedBy>
  <cp:lastPrinted>2025-08-18T16:24:32Z</cp:lastPrinted>
  <dcterms:created xsi:type="dcterms:W3CDTF">2016-04-06T00:10:06Z</dcterms:created>
  <dcterms:modified xsi:type="dcterms:W3CDTF">2025-09-09T18:01:56Z</dcterms:modified>
</cp:coreProperties>
</file>